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ork From Home\Benefits Calculator\"/>
    </mc:Choice>
  </mc:AlternateContent>
  <xr:revisionPtr revIDLastSave="0" documentId="8_{42B4F18A-DF6B-4CB0-8C51-D738BB54B462}" xr6:coauthVersionLast="47" xr6:coauthVersionMax="47" xr10:uidLastSave="{00000000-0000-0000-0000-000000000000}"/>
  <bookViews>
    <workbookView xWindow="-120" yWindow="-120" windowWidth="38640" windowHeight="21390" xr2:uid="{00000000-000D-0000-FFFF-FFFF00000000}"/>
  </bookViews>
  <sheets>
    <sheet name="Calculator" sheetId="1" r:id="rId1"/>
    <sheet name="Benefits Rates" sheetId="2" r:id="rId2"/>
    <sheet name="Dropdown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" l="1"/>
  <c r="H28" i="2"/>
  <c r="D19" i="2" l="1"/>
  <c r="D32" i="2"/>
  <c r="D20" i="2"/>
  <c r="H29" i="2"/>
  <c r="H6" i="2" l="1"/>
  <c r="H5" i="2" s="1"/>
  <c r="D5" i="2" l="1"/>
  <c r="H10" i="2"/>
  <c r="K6" i="2" s="1"/>
  <c r="C12" i="1" s="1"/>
  <c r="H22" i="2"/>
  <c r="D4" i="2"/>
  <c r="J6" i="2"/>
  <c r="C11" i="1" s="1"/>
  <c r="H15" i="2"/>
  <c r="L6" i="2"/>
  <c r="C13" i="1" s="1"/>
  <c r="N8" i="2"/>
  <c r="Q6" i="2" s="1"/>
  <c r="C15" i="1" s="1"/>
  <c r="D21" i="2"/>
  <c r="L12" i="2"/>
  <c r="C18" i="1" s="1"/>
  <c r="L13" i="2"/>
  <c r="C19" i="1" s="1"/>
  <c r="D15" i="2"/>
  <c r="L32" i="2"/>
  <c r="K32" i="2"/>
  <c r="J32" i="2"/>
  <c r="D8" i="2"/>
  <c r="D9" i="2"/>
  <c r="L11" i="2"/>
  <c r="C17" i="1" s="1"/>
  <c r="L10" i="2"/>
  <c r="C16" i="1" s="1"/>
  <c r="Q5" i="2"/>
  <c r="B15" i="1" s="1"/>
  <c r="P5" i="2"/>
  <c r="B14" i="1" s="1"/>
  <c r="D14" i="2"/>
  <c r="D13" i="2"/>
  <c r="D11" i="2"/>
  <c r="D6" i="2"/>
  <c r="M6" i="2"/>
  <c r="K25" i="2"/>
  <c r="M23" i="2"/>
  <c r="M30" i="2"/>
  <c r="J25" i="2"/>
  <c r="C6" i="1"/>
  <c r="L14" i="2"/>
  <c r="C20" i="1" s="1"/>
  <c r="L15" i="2"/>
  <c r="C21" i="1" s="1"/>
  <c r="J23" i="2" l="1"/>
  <c r="J30" i="2"/>
  <c r="D22" i="2"/>
  <c r="N6" i="2" s="1"/>
  <c r="P6" i="2" s="1"/>
  <c r="D10" i="2"/>
  <c r="C14" i="1" l="1"/>
  <c r="C22" i="1" s="1"/>
  <c r="C24" i="1" s="1"/>
  <c r="N23" i="2"/>
  <c r="N30" i="2"/>
</calcChain>
</file>

<file path=xl/sharedStrings.xml><?xml version="1.0" encoding="utf-8"?>
<sst xmlns="http://schemas.openxmlformats.org/spreadsheetml/2006/main" count="132" uniqueCount="88">
  <si>
    <t>CPP</t>
  </si>
  <si>
    <t>Costs Breakdown</t>
  </si>
  <si>
    <t>EI</t>
  </si>
  <si>
    <t>WCB</t>
  </si>
  <si>
    <t>Employee Type</t>
  </si>
  <si>
    <t>Union</t>
  </si>
  <si>
    <t>Maximum Annual Insurable Earnings</t>
  </si>
  <si>
    <t>Basic Exemption Amount</t>
  </si>
  <si>
    <t>Maximum Contributory Earnings</t>
  </si>
  <si>
    <t>Employer Contribution Rate</t>
  </si>
  <si>
    <t>Maximum Assessable Earnings</t>
  </si>
  <si>
    <t>Maximum Yearly Deduction</t>
  </si>
  <si>
    <t>Maximum Annual Employer Premium</t>
  </si>
  <si>
    <t>Maximum Annual Employer Contribution</t>
  </si>
  <si>
    <t>Maximum Pensionable Earnings (YMPE)</t>
  </si>
  <si>
    <t>Rate on Salary up to YMPE</t>
  </si>
  <si>
    <t>Rate on Salary Over YMPE</t>
  </si>
  <si>
    <t>Salary Cap</t>
  </si>
  <si>
    <t>Effective Rate</t>
  </si>
  <si>
    <t>Rate on Excess of Pensionable Salary</t>
  </si>
  <si>
    <t>Support</t>
  </si>
  <si>
    <t>Supplemental Health Care</t>
  </si>
  <si>
    <t>Dental</t>
  </si>
  <si>
    <t>Life Insurance</t>
  </si>
  <si>
    <t>Long-Term Disability</t>
  </si>
  <si>
    <t>Employee Family Assistance Program</t>
  </si>
  <si>
    <t>Critical Illness</t>
  </si>
  <si>
    <t>Benefit</t>
  </si>
  <si>
    <t>Cost</t>
  </si>
  <si>
    <t>University of Alberta Benefits Costs Breakdown</t>
  </si>
  <si>
    <t>Employee Family Assistance</t>
  </si>
  <si>
    <t>Long-term Disability</t>
  </si>
  <si>
    <t>Supplemental Healthcare</t>
  </si>
  <si>
    <t>Academic</t>
  </si>
  <si>
    <t>Annual Cost</t>
  </si>
  <si>
    <t>Pension Type</t>
  </si>
  <si>
    <t>Max Cost at YMPE</t>
  </si>
  <si>
    <t>Max Cost at Salary Cap</t>
  </si>
  <si>
    <t>PSPP Formula Breakdown</t>
  </si>
  <si>
    <t>Before YMPE</t>
  </si>
  <si>
    <t>After YMPE</t>
  </si>
  <si>
    <t>Total</t>
  </si>
  <si>
    <t>UAPP Formula Breakdown</t>
  </si>
  <si>
    <t>After Salary Cap</t>
  </si>
  <si>
    <t>Salary Capped</t>
  </si>
  <si>
    <t>Calculation Validation</t>
  </si>
  <si>
    <t>Employment Insurance (EI)</t>
  </si>
  <si>
    <t>Canada Pension Plan (CPP)</t>
  </si>
  <si>
    <t>Worker's Compensation (WCB)</t>
  </si>
  <si>
    <t>University Benefits Plans</t>
  </si>
  <si>
    <t>EI Rate (Employer)</t>
  </si>
  <si>
    <t>1. Continuting Academic include Faculty, APO, FSO and Librarian.</t>
  </si>
  <si>
    <t>Select Employee Type</t>
  </si>
  <si>
    <t>Enter Annual Base Salary Rate</t>
  </si>
  <si>
    <t>Benefit Type</t>
  </si>
  <si>
    <t>PSPP Pension</t>
  </si>
  <si>
    <t>UAPP Pension</t>
  </si>
  <si>
    <t>Total Estimated Annual Benefits Cost</t>
  </si>
  <si>
    <r>
      <t>This calculator can be used to estimate the annual benefits cost of a continuting employee</t>
    </r>
    <r>
      <rPr>
        <vertAlign val="superscript"/>
        <sz val="12"/>
        <color theme="1"/>
        <rFont val="Calibri"/>
        <family val="2"/>
        <scheme val="minor"/>
      </rPr>
      <t xml:space="preserve"> 1</t>
    </r>
    <r>
      <rPr>
        <sz val="12"/>
        <color theme="1"/>
        <rFont val="Calibri"/>
        <family val="2"/>
        <scheme val="minor"/>
      </rPr>
      <t>, based on their annual salary rate</t>
    </r>
  </si>
  <si>
    <t>2.  Excluded Management Benefits rates should be same as AASUA</t>
  </si>
  <si>
    <t>Notes:</t>
  </si>
  <si>
    <t>Benefits Percentage</t>
  </si>
  <si>
    <t>UAPP maximum pensionable salary</t>
  </si>
  <si>
    <t>&lt; 55 ASRP points</t>
  </si>
  <si>
    <t>55 - 80 ASRP points</t>
  </si>
  <si>
    <t>&gt;= 80 ASRP points</t>
  </si>
  <si>
    <r>
      <t>ASRP Pension</t>
    </r>
    <r>
      <rPr>
        <b/>
        <vertAlign val="superscript"/>
        <sz val="11"/>
        <color theme="1"/>
        <rFont val="Calibri"/>
        <family val="2"/>
        <scheme val="minor"/>
      </rPr>
      <t xml:space="preserve"> 3</t>
    </r>
  </si>
  <si>
    <t>3. ASRP applies to high earning academic staff. Contribution rate is based on age + years of service. This calculator just used the middle rate of 12%. See 'Benefits Rate' tab for details.</t>
  </si>
  <si>
    <t>1. Excluded Management effective benefits rates are the same as AASUA</t>
  </si>
  <si>
    <t>1. Excluded Support effective benefits rates are the same as NASA</t>
  </si>
  <si>
    <r>
      <t>Academic (AASUA) Benefits Breakdown</t>
    </r>
    <r>
      <rPr>
        <b/>
        <vertAlign val="superscript"/>
        <sz val="18"/>
        <color theme="1"/>
        <rFont val="Calibri"/>
        <family val="2"/>
        <scheme val="minor"/>
      </rPr>
      <t>1</t>
    </r>
  </si>
  <si>
    <r>
      <t xml:space="preserve">Support (NASA) Benefits Breakdown </t>
    </r>
    <r>
      <rPr>
        <b/>
        <vertAlign val="superscript"/>
        <sz val="18"/>
        <color theme="1"/>
        <rFont val="Calibri"/>
        <family val="2"/>
        <scheme val="minor"/>
      </rPr>
      <t>1</t>
    </r>
  </si>
  <si>
    <r>
      <t xml:space="preserve">Life Insurance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</si>
  <si>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Critical Illness </t>
    </r>
    <r>
      <rPr>
        <vertAlign val="superscript"/>
        <sz val="11"/>
        <color theme="1"/>
        <rFont val="Calibri"/>
        <family val="2"/>
        <scheme val="minor"/>
      </rPr>
      <t>3</t>
    </r>
  </si>
  <si>
    <t>3. No updated rate for critical illness was available, so this is stated at the April 2020 rate.</t>
  </si>
  <si>
    <t>4. Currently listed at 2019 amount since no update is available</t>
  </si>
  <si>
    <r>
      <t xml:space="preserve">ASRP Maximum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</si>
  <si>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Academic Supplementary Retirement Plan (ASRP) 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</si>
  <si>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5. ASRP calculation assumes all staff are in the band of 55-80 ASRP points and applies the 12% to all eligible staff. The actual amount is 8%, 12% or 16%, dependent on ASRP points. Note that ASRP rates are identical to those of Executive Defined Contribution Supplemental Retirement Plan (for excluded staff)</t>
  </si>
  <si>
    <t>2. Rates effective July 1, 2020 through June 30, 2021.</t>
  </si>
  <si>
    <r>
      <t xml:space="preserve">Universities Academic Pension Plan (UAPP)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</si>
  <si>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- These numbers are meant to provide an annual estimate for FY 2022 only; actual charges from the payroll system may differ.</t>
  </si>
  <si>
    <t>- Government Plans (EI, CPP, and WCB) are using rates for calendar year of 2021</t>
  </si>
  <si>
    <t>- University benefits plans (health, dental, life insurance, LTD, EFAP, and critical illness) are using rates effective April 1, 2021.</t>
  </si>
  <si>
    <t>2021-22 University of Alberta Benefits Estimator</t>
  </si>
  <si>
    <t>2. Rate is converted to percent of annual salary. Annual rate is 3.576 per $1000 of salary.</t>
  </si>
  <si>
    <r>
      <t xml:space="preserve">Public Service Pension Plan (PSPP) 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</si>
  <si>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4. Rates effective Jan 2021 through December 31,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</si>
</sst>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_(&quot;$&quot;* #,##0.0_);_(&quot;$&quot;* \(#,##0.0\);_(&quot;$&quot;* &quot;-&quot;?_);_(@_)"/>
    <numFmt numFmtId="169" formatCode="0.0%"/>
    <numFmt numFmtId="170" formatCode="0.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1" xfId="0" applyBorder="1"/>
    <xf numFmtId="44" fontId="0" fillId="0" borderId="1" xfId="1" applyFont="1" applyBorder="1"/>
    <xf numFmtId="10" fontId="0" fillId="0" borderId="0" xfId="3" applyNumberFormat="1" applyFont="1" applyBorder="1"/>
    <xf numFmtId="0" fontId="2" fillId="0" borderId="1" xfId="0" applyFont="1" applyBorder="1"/>
    <xf numFmtId="0" fontId="2" fillId="0" borderId="0" xfId="0" applyFont="1" applyFill="1" applyBorder="1" applyAlignment="1">
      <alignment horizontal="center"/>
    </xf>
    <xf numFmtId="44" fontId="0" fillId="0" borderId="0" xfId="1" applyFont="1" applyBorder="1"/>
    <xf numFmtId="0" fontId="2" fillId="0" borderId="0" xfId="0" applyFont="1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 applyAlignment="1">
      <alignment horizontal="center"/>
    </xf>
    <xf numFmtId="44" fontId="0" fillId="2" borderId="1" xfId="1" applyFont="1" applyFill="1" applyBorder="1"/>
    <xf numFmtId="44" fontId="0" fillId="3" borderId="1" xfId="1" applyFont="1" applyFill="1" applyBorder="1"/>
    <xf numFmtId="0" fontId="0" fillId="0" borderId="0" xfId="0" applyFont="1"/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/>
    <xf numFmtId="44" fontId="0" fillId="0" borderId="1" xfId="1" applyFont="1" applyBorder="1" applyAlignment="1">
      <alignment horizontal="left"/>
    </xf>
    <xf numFmtId="165" fontId="0" fillId="0" borderId="1" xfId="1" applyNumberFormat="1" applyFont="1" applyBorder="1"/>
    <xf numFmtId="44" fontId="0" fillId="0" borderId="1" xfId="0" applyNumberFormat="1" applyBorder="1"/>
    <xf numFmtId="0" fontId="4" fillId="0" borderId="0" xfId="0" applyFont="1"/>
    <xf numFmtId="0" fontId="3" fillId="0" borderId="0" xfId="0" applyFont="1" applyBorder="1" applyAlignment="1">
      <alignment horizontal="left"/>
    </xf>
    <xf numFmtId="44" fontId="0" fillId="0" borderId="9" xfId="1" applyFont="1" applyBorder="1"/>
    <xf numFmtId="44" fontId="1" fillId="0" borderId="0" xfId="1" applyFont="1" applyBorder="1"/>
    <xf numFmtId="0" fontId="7" fillId="0" borderId="0" xfId="0" applyFont="1"/>
    <xf numFmtId="0" fontId="0" fillId="0" borderId="0" xfId="0" applyFont="1" applyBorder="1" applyAlignment="1"/>
    <xf numFmtId="0" fontId="0" fillId="0" borderId="0" xfId="0" applyFont="1" applyFill="1" applyBorder="1" applyAlignment="1"/>
    <xf numFmtId="44" fontId="0" fillId="0" borderId="0" xfId="0" applyNumberFormat="1" applyBorder="1"/>
    <xf numFmtId="0" fontId="0" fillId="0" borderId="10" xfId="0" applyFont="1" applyBorder="1" applyAlignment="1"/>
    <xf numFmtId="10" fontId="0" fillId="0" borderId="12" xfId="3" applyNumberFormat="1" applyFont="1" applyBorder="1"/>
    <xf numFmtId="0" fontId="0" fillId="0" borderId="11" xfId="0" applyFont="1" applyBorder="1" applyAlignment="1"/>
    <xf numFmtId="0" fontId="0" fillId="0" borderId="10" xfId="0" applyFont="1" applyFill="1" applyBorder="1" applyAlignment="1"/>
    <xf numFmtId="10" fontId="0" fillId="0" borderId="6" xfId="3" applyNumberFormat="1" applyFont="1" applyBorder="1"/>
    <xf numFmtId="0" fontId="0" fillId="0" borderId="11" xfId="0" applyFont="1" applyFill="1" applyBorder="1" applyAlignment="1"/>
    <xf numFmtId="0" fontId="0" fillId="0" borderId="11" xfId="0" applyFont="1" applyBorder="1"/>
    <xf numFmtId="0" fontId="0" fillId="0" borderId="10" xfId="0" applyFont="1" applyBorder="1"/>
    <xf numFmtId="10" fontId="0" fillId="0" borderId="8" xfId="3" applyNumberFormat="1" applyFont="1" applyBorder="1"/>
    <xf numFmtId="0" fontId="5" fillId="0" borderId="0" xfId="0" applyFont="1" applyFill="1" applyBorder="1" applyAlignment="1">
      <alignment horizontal="center"/>
    </xf>
    <xf numFmtId="0" fontId="0" fillId="0" borderId="0" xfId="0" applyFill="1"/>
    <xf numFmtId="166" fontId="0" fillId="0" borderId="6" xfId="1" applyNumberFormat="1" applyFont="1" applyBorder="1"/>
    <xf numFmtId="166" fontId="0" fillId="0" borderId="12" xfId="1" applyNumberFormat="1" applyFont="1" applyBorder="1"/>
    <xf numFmtId="166" fontId="0" fillId="0" borderId="8" xfId="1" applyNumberFormat="1" applyFont="1" applyBorder="1"/>
    <xf numFmtId="10" fontId="0" fillId="0" borderId="8" xfId="0" applyNumberFormat="1" applyBorder="1"/>
    <xf numFmtId="44" fontId="2" fillId="0" borderId="0" xfId="1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/>
    <xf numFmtId="0" fontId="8" fillId="0" borderId="0" xfId="0" applyFont="1"/>
    <xf numFmtId="0" fontId="3" fillId="0" borderId="1" xfId="0" applyFont="1" applyBorder="1" applyAlignment="1">
      <alignment horizontal="left"/>
    </xf>
    <xf numFmtId="4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indent="2"/>
    </xf>
    <xf numFmtId="167" fontId="8" fillId="0" borderId="0" xfId="2" applyNumberFormat="1" applyFont="1" applyBorder="1"/>
    <xf numFmtId="0" fontId="8" fillId="0" borderId="0" xfId="0" applyFont="1" applyBorder="1"/>
    <xf numFmtId="44" fontId="8" fillId="0" borderId="0" xfId="1" applyFont="1" applyBorder="1"/>
    <xf numFmtId="0" fontId="3" fillId="0" borderId="0" xfId="0" applyFont="1" applyBorder="1" applyAlignment="1"/>
    <xf numFmtId="165" fontId="8" fillId="0" borderId="0" xfId="1" applyNumberFormat="1" applyFont="1" applyBorder="1"/>
    <xf numFmtId="44" fontId="3" fillId="0" borderId="0" xfId="1" applyFont="1" applyBorder="1"/>
    <xf numFmtId="166" fontId="3" fillId="0" borderId="11" xfId="1" applyNumberFormat="1" applyFont="1" applyBorder="1"/>
    <xf numFmtId="0" fontId="3" fillId="0" borderId="0" xfId="0" applyFont="1" applyFill="1" applyBorder="1" applyAlignment="1">
      <alignment horizontal="left" indent="2"/>
    </xf>
    <xf numFmtId="0" fontId="0" fillId="0" borderId="0" xfId="0" quotePrefix="1" applyFont="1"/>
    <xf numFmtId="0" fontId="10" fillId="0" borderId="0" xfId="0" applyFont="1" applyAlignment="1">
      <alignment horizontal="left" indent="1"/>
    </xf>
    <xf numFmtId="166" fontId="3" fillId="4" borderId="1" xfId="1" applyNumberFormat="1" applyFont="1" applyFill="1" applyBorder="1" applyAlignment="1"/>
    <xf numFmtId="0" fontId="2" fillId="0" borderId="1" xfId="0" applyFont="1" applyBorder="1" applyAlignment="1">
      <alignment horizontal="center"/>
    </xf>
    <xf numFmtId="168" fontId="8" fillId="0" borderId="0" xfId="0" applyNumberFormat="1" applyFont="1"/>
    <xf numFmtId="0" fontId="0" fillId="0" borderId="0" xfId="0" quotePrefix="1" applyFont="1" applyBorder="1"/>
    <xf numFmtId="0" fontId="0" fillId="0" borderId="10" xfId="0" quotePrefix="1" applyFont="1" applyBorder="1"/>
    <xf numFmtId="169" fontId="0" fillId="0" borderId="12" xfId="3" applyNumberFormat="1" applyFont="1" applyBorder="1"/>
    <xf numFmtId="169" fontId="0" fillId="0" borderId="8" xfId="0" applyNumberFormat="1" applyBorder="1"/>
    <xf numFmtId="167" fontId="8" fillId="0" borderId="0" xfId="2" applyNumberFormat="1" applyFont="1" applyBorder="1" applyAlignment="1">
      <alignment horizontal="right"/>
    </xf>
    <xf numFmtId="43" fontId="0" fillId="0" borderId="0" xfId="2" applyFont="1" applyBorder="1"/>
    <xf numFmtId="167" fontId="0" fillId="0" borderId="0" xfId="2" applyNumberFormat="1" applyFont="1" applyBorder="1"/>
    <xf numFmtId="43" fontId="0" fillId="0" borderId="0" xfId="0" applyNumberFormat="1"/>
    <xf numFmtId="43" fontId="0" fillId="0" borderId="0" xfId="2" applyNumberFormat="1" applyFont="1" applyBorder="1"/>
    <xf numFmtId="164" fontId="0" fillId="0" borderId="0" xfId="3" applyNumberFormat="1" applyFont="1"/>
    <xf numFmtId="10" fontId="0" fillId="0" borderId="0" xfId="0" applyNumberFormat="1"/>
    <xf numFmtId="43" fontId="0" fillId="0" borderId="0" xfId="2" applyFont="1"/>
    <xf numFmtId="166" fontId="0" fillId="0" borderId="12" xfId="1" applyNumberFormat="1" applyFont="1" applyFill="1" applyBorder="1"/>
    <xf numFmtId="170" fontId="0" fillId="0" borderId="12" xfId="3" applyNumberFormat="1" applyFont="1" applyFill="1" applyBorder="1"/>
    <xf numFmtId="10" fontId="3" fillId="0" borderId="0" xfId="3" applyNumberFormat="1" applyFont="1"/>
    <xf numFmtId="10" fontId="8" fillId="0" borderId="0" xfId="3" applyNumberFormat="1" applyFont="1"/>
    <xf numFmtId="164" fontId="3" fillId="0" borderId="0" xfId="3" applyNumberFormat="1" applyFont="1"/>
    <xf numFmtId="0" fontId="7" fillId="0" borderId="0" xfId="0" applyFont="1" applyFill="1"/>
    <xf numFmtId="10" fontId="0" fillId="0" borderId="6" xfId="3" applyNumberFormat="1" applyFont="1" applyFill="1" applyBorder="1"/>
    <xf numFmtId="10" fontId="0" fillId="0" borderId="12" xfId="3" applyNumberFormat="1" applyFont="1" applyFill="1" applyBorder="1"/>
    <xf numFmtId="10" fontId="0" fillId="0" borderId="8" xfId="3" applyNumberFormat="1" applyFont="1" applyFill="1" applyBorder="1"/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2"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workbookViewId="0">
      <selection activeCell="G29" sqref="G29"/>
    </sheetView>
  </sheetViews>
  <sheetFormatPr defaultColWidth="26.85546875" defaultRowHeight="15" customHeight="1" x14ac:dyDescent="0.25"/>
  <cols>
    <col min="1" max="1" width="4.42578125" style="48" customWidth="1"/>
    <col min="2" max="2" width="48.28515625" style="48" customWidth="1"/>
    <col min="3" max="3" width="21.85546875" style="48" customWidth="1"/>
    <col min="4" max="4" width="16.85546875" style="48" customWidth="1"/>
    <col min="5" max="16384" width="26.85546875" style="48"/>
  </cols>
  <sheetData>
    <row r="1" spans="1:7" ht="22.5" customHeight="1" x14ac:dyDescent="0.3">
      <c r="A1" s="21" t="s">
        <v>84</v>
      </c>
    </row>
    <row r="2" spans="1:7" ht="33" customHeight="1" x14ac:dyDescent="0.25">
      <c r="A2" s="90" t="s">
        <v>58</v>
      </c>
      <c r="B2" s="90"/>
      <c r="C2" s="90"/>
    </row>
    <row r="3" spans="1:7" ht="15.75" x14ac:dyDescent="0.25">
      <c r="A3" s="47"/>
    </row>
    <row r="5" spans="1:7" ht="15" customHeight="1" x14ac:dyDescent="0.25">
      <c r="B5" s="49" t="s">
        <v>52</v>
      </c>
      <c r="C5" s="50" t="s">
        <v>33</v>
      </c>
    </row>
    <row r="6" spans="1:7" ht="15" customHeight="1" x14ac:dyDescent="0.25">
      <c r="B6" s="49" t="s">
        <v>5</v>
      </c>
      <c r="C6" s="51" t="str">
        <f>IF(C5="Support","NASA",IF(C5="Academic","AASUA",0))</f>
        <v>AASUA</v>
      </c>
    </row>
    <row r="8" spans="1:7" ht="15" customHeight="1" x14ac:dyDescent="0.25">
      <c r="B8" s="52" t="s">
        <v>53</v>
      </c>
      <c r="C8" s="65">
        <v>190000</v>
      </c>
      <c r="D8" s="67"/>
    </row>
    <row r="10" spans="1:7" ht="15" customHeight="1" x14ac:dyDescent="0.25">
      <c r="B10" s="22" t="s">
        <v>54</v>
      </c>
      <c r="C10" s="53" t="s">
        <v>34</v>
      </c>
    </row>
    <row r="11" spans="1:7" ht="15" customHeight="1" x14ac:dyDescent="0.25">
      <c r="B11" s="54" t="s">
        <v>46</v>
      </c>
      <c r="C11" s="55">
        <f>'Benefits Rates'!J6</f>
        <v>1037.20364</v>
      </c>
    </row>
    <row r="12" spans="1:7" ht="15" customHeight="1" x14ac:dyDescent="0.25">
      <c r="B12" s="54" t="s">
        <v>47</v>
      </c>
      <c r="C12" s="55">
        <f>'Benefits Rates'!K6</f>
        <v>3166.45</v>
      </c>
      <c r="F12" s="56"/>
      <c r="G12" s="56"/>
    </row>
    <row r="13" spans="1:7" ht="15" customHeight="1" x14ac:dyDescent="0.25">
      <c r="B13" s="54" t="s">
        <v>48</v>
      </c>
      <c r="C13" s="55">
        <f>'Benefits Rates'!L6</f>
        <v>207.26999999999998</v>
      </c>
      <c r="F13" s="57"/>
      <c r="G13" s="57"/>
    </row>
    <row r="14" spans="1:7" ht="15" customHeight="1" x14ac:dyDescent="0.25">
      <c r="B14" s="54" t="str">
        <f>'Benefits Rates'!P5</f>
        <v>UAPP Pension</v>
      </c>
      <c r="C14" s="55">
        <f>'Benefits Rates'!P6</f>
        <v>27206.984000000004</v>
      </c>
      <c r="D14" s="57"/>
      <c r="E14" s="57"/>
      <c r="F14" s="57"/>
      <c r="G14" s="57"/>
    </row>
    <row r="15" spans="1:7" ht="15" customHeight="1" x14ac:dyDescent="0.25">
      <c r="B15" s="54" t="str">
        <f>'Benefits Rates'!Q5</f>
        <v>ASRP Pension 3</v>
      </c>
      <c r="C15" s="72">
        <f>'Benefits Rates'!Q6</f>
        <v>1109.0664000000002</v>
      </c>
      <c r="D15" s="57"/>
      <c r="E15" s="57"/>
      <c r="F15" s="57"/>
      <c r="G15" s="57"/>
    </row>
    <row r="16" spans="1:7" ht="15" customHeight="1" x14ac:dyDescent="0.25">
      <c r="B16" s="54" t="s">
        <v>32</v>
      </c>
      <c r="C16" s="55">
        <f>'Benefits Rates'!L10</f>
        <v>3540</v>
      </c>
      <c r="D16" s="58"/>
    </row>
    <row r="17" spans="1:7" ht="15" customHeight="1" x14ac:dyDescent="0.25">
      <c r="B17" s="54" t="s">
        <v>22</v>
      </c>
      <c r="C17" s="55">
        <f>'Benefits Rates'!L11</f>
        <v>2052</v>
      </c>
      <c r="D17" s="59"/>
    </row>
    <row r="18" spans="1:7" ht="15" customHeight="1" x14ac:dyDescent="0.25">
      <c r="B18" s="54" t="s">
        <v>23</v>
      </c>
      <c r="C18" s="55">
        <f>'Benefits Rates'!L12</f>
        <v>165.60000000000002</v>
      </c>
      <c r="D18" s="57"/>
    </row>
    <row r="19" spans="1:7" ht="15" customHeight="1" x14ac:dyDescent="0.25">
      <c r="B19" s="54" t="s">
        <v>31</v>
      </c>
      <c r="C19" s="55">
        <f>'Benefits Rates'!L13</f>
        <v>2280</v>
      </c>
      <c r="D19" s="57"/>
    </row>
    <row r="20" spans="1:7" ht="15" customHeight="1" x14ac:dyDescent="0.25">
      <c r="B20" s="54" t="s">
        <v>30</v>
      </c>
      <c r="C20" s="55">
        <f>'Benefits Rates'!L14</f>
        <v>108</v>
      </c>
      <c r="D20" s="57"/>
    </row>
    <row r="21" spans="1:7" ht="15" customHeight="1" x14ac:dyDescent="0.25">
      <c r="B21" s="54" t="s">
        <v>26</v>
      </c>
      <c r="C21" s="55">
        <f>'Benefits Rates'!L15</f>
        <v>43.2</v>
      </c>
      <c r="D21" s="57"/>
      <c r="E21" s="57"/>
      <c r="F21" s="57"/>
      <c r="G21" s="56"/>
    </row>
    <row r="22" spans="1:7" ht="15" customHeight="1" x14ac:dyDescent="0.25">
      <c r="B22" s="60" t="s">
        <v>57</v>
      </c>
      <c r="C22" s="61">
        <f>SUM(C11:C21)</f>
        <v>40915.774039999997</v>
      </c>
      <c r="D22" s="57"/>
      <c r="E22" s="57"/>
      <c r="F22" s="57"/>
      <c r="G22" s="56"/>
    </row>
    <row r="23" spans="1:7" ht="15" customHeight="1" x14ac:dyDescent="0.25">
      <c r="D23" s="57"/>
      <c r="E23" s="57"/>
      <c r="F23" s="57"/>
      <c r="G23" s="56"/>
    </row>
    <row r="24" spans="1:7" s="47" customFormat="1" ht="15" customHeight="1" x14ac:dyDescent="0.25">
      <c r="B24" s="62" t="s">
        <v>61</v>
      </c>
      <c r="C24" s="84">
        <f>C22/C8</f>
        <v>0.21534617915789472</v>
      </c>
      <c r="D24" s="82"/>
    </row>
    <row r="25" spans="1:7" ht="15" customHeight="1" x14ac:dyDescent="0.25">
      <c r="D25" s="83"/>
    </row>
    <row r="27" spans="1:7" ht="15" customHeight="1" x14ac:dyDescent="0.25">
      <c r="B27" s="25" t="s">
        <v>51</v>
      </c>
    </row>
    <row r="28" spans="1:7" ht="15" customHeight="1" x14ac:dyDescent="0.25">
      <c r="B28" s="25" t="s">
        <v>59</v>
      </c>
    </row>
    <row r="29" spans="1:7" ht="33" customHeight="1" x14ac:dyDescent="0.25">
      <c r="B29" s="89" t="s">
        <v>67</v>
      </c>
      <c r="C29" s="89"/>
      <c r="D29" s="89"/>
    </row>
    <row r="30" spans="1:7" s="14" customFormat="1" ht="12.75" customHeight="1" x14ac:dyDescent="0.25"/>
    <row r="31" spans="1:7" s="14" customFormat="1" ht="15" customHeight="1" x14ac:dyDescent="0.25">
      <c r="A31" s="64" t="s">
        <v>60</v>
      </c>
    </row>
    <row r="32" spans="1:7" s="14" customFormat="1" ht="15" customHeight="1" x14ac:dyDescent="0.25">
      <c r="B32" s="63" t="s">
        <v>81</v>
      </c>
    </row>
    <row r="33" spans="2:2" s="14" customFormat="1" ht="15" customHeight="1" x14ac:dyDescent="0.25">
      <c r="B33" s="63" t="s">
        <v>82</v>
      </c>
    </row>
    <row r="34" spans="2:2" s="14" customFormat="1" ht="15" customHeight="1" x14ac:dyDescent="0.25">
      <c r="B34" s="63" t="s">
        <v>83</v>
      </c>
    </row>
    <row r="35" spans="2:2" s="14" customFormat="1" ht="15" customHeight="1" x14ac:dyDescent="0.25"/>
    <row r="36" spans="2:2" s="14" customFormat="1" ht="15" customHeight="1" x14ac:dyDescent="0.25"/>
    <row r="37" spans="2:2" s="14" customFormat="1" ht="15" customHeight="1" x14ac:dyDescent="0.25"/>
    <row r="38" spans="2:2" s="14" customFormat="1" ht="15" customHeight="1" x14ac:dyDescent="0.25"/>
    <row r="39" spans="2:2" s="14" customFormat="1" ht="15" customHeight="1" x14ac:dyDescent="0.25"/>
    <row r="40" spans="2:2" s="14" customFormat="1" ht="15" customHeight="1" x14ac:dyDescent="0.25"/>
    <row r="41" spans="2:2" s="14" customFormat="1" ht="15" customHeight="1" x14ac:dyDescent="0.25"/>
    <row r="42" spans="2:2" s="14" customFormat="1" ht="15" customHeight="1" x14ac:dyDescent="0.25"/>
    <row r="43" spans="2:2" s="14" customFormat="1" ht="15" customHeight="1" x14ac:dyDescent="0.25"/>
    <row r="44" spans="2:2" s="14" customFormat="1" ht="15" customHeight="1" x14ac:dyDescent="0.25"/>
    <row r="45" spans="2:2" s="14" customFormat="1" ht="15" customHeight="1" x14ac:dyDescent="0.25"/>
  </sheetData>
  <sheetProtection algorithmName="SHA-512" hashValue="ZvC8mYM7A5GmmaE8J5PUa28w7avLLiS2g4eEOYGUdGuH2IOWCVpfx35uCswoldN7Au9lSQfQZoXy1QvYuUEEOA==" saltValue="IYBD/hQN3PksCDPHYJ24CQ==" spinCount="100000" sheet="1" objects="1" scenarios="1"/>
  <protectedRanges>
    <protectedRange sqref="C5" name="Employee Type"/>
    <protectedRange sqref="C8" name="Salary Rate"/>
  </protectedRanges>
  <mergeCells count="2">
    <mergeCell ref="B29:D29"/>
    <mergeCell ref="A2:C2"/>
  </mergeCells>
  <conditionalFormatting sqref="C6">
    <cfRule type="expression" dxfId="1" priority="4">
      <formula>$C$5="Support"</formula>
    </cfRule>
    <cfRule type="expression" dxfId="0" priority="5">
      <formula>$C$5="Academic"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Employee Type" prompt="Please determine whether the employee is a continuing academic or continuing support staff member. _x000a__x000a_The benefit costs will adjust according to the employee type and corresponding union." xr:uid="{00000000-0002-0000-0000-000000000000}">
          <x14:formula1>
            <xm:f>Dropdown!$A$2:$A$3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46"/>
  <sheetViews>
    <sheetView showGridLines="0" workbookViewId="0">
      <selection activeCell="G4" sqref="G4"/>
    </sheetView>
  </sheetViews>
  <sheetFormatPr defaultColWidth="20.85546875" defaultRowHeight="15" outlineLevelCol="1" x14ac:dyDescent="0.25"/>
  <cols>
    <col min="1" max="1" width="3.85546875" customWidth="1"/>
    <col min="2" max="2" width="27.42578125" customWidth="1"/>
    <col min="3" max="3" width="40" style="8" customWidth="1"/>
    <col min="4" max="4" width="14.85546875" customWidth="1"/>
    <col min="5" max="5" width="5.5703125" customWidth="1"/>
    <col min="6" max="6" width="27.42578125" customWidth="1"/>
    <col min="7" max="7" width="40" style="8" customWidth="1"/>
    <col min="8" max="8" width="16.42578125" customWidth="1"/>
    <col min="9" max="9" width="11.140625" bestFit="1" customWidth="1"/>
    <col min="10" max="14" width="20.85546875" hidden="1" customWidth="1" outlineLevel="1"/>
    <col min="15" max="15" width="2.28515625" hidden="1" customWidth="1" outlineLevel="1"/>
    <col min="16" max="17" width="20.85546875" hidden="1" customWidth="1" outlineLevel="1"/>
    <col min="18" max="18" width="4.42578125" customWidth="1" collapsed="1"/>
  </cols>
  <sheetData>
    <row r="1" spans="2:17" ht="15.75" thickBot="1" x14ac:dyDescent="0.3"/>
    <row r="2" spans="2:17" ht="27" thickBot="1" x14ac:dyDescent="0.4">
      <c r="B2" s="98" t="s">
        <v>70</v>
      </c>
      <c r="C2" s="99"/>
      <c r="D2" s="100"/>
      <c r="F2" s="105" t="s">
        <v>71</v>
      </c>
      <c r="G2" s="106"/>
      <c r="H2" s="107"/>
    </row>
    <row r="3" spans="2:17" s="39" customFormat="1" ht="12" customHeight="1" x14ac:dyDescent="0.35">
      <c r="B3" s="38"/>
      <c r="C3" s="38"/>
      <c r="D3" s="38"/>
      <c r="F3" s="38"/>
      <c r="G3" s="38"/>
      <c r="H3" s="38"/>
      <c r="J3" s="8"/>
      <c r="K3" s="8"/>
      <c r="L3" s="8"/>
      <c r="M3" s="8"/>
      <c r="N3" s="8"/>
      <c r="O3" s="8"/>
      <c r="P3" s="8"/>
    </row>
    <row r="4" spans="2:17" x14ac:dyDescent="0.25">
      <c r="B4" s="95" t="s">
        <v>46</v>
      </c>
      <c r="C4" s="31" t="s">
        <v>6</v>
      </c>
      <c r="D4" s="40">
        <f>H4</f>
        <v>56300</v>
      </c>
      <c r="F4" s="95" t="s">
        <v>46</v>
      </c>
      <c r="G4" s="31" t="s">
        <v>6</v>
      </c>
      <c r="H4" s="40">
        <v>56300</v>
      </c>
      <c r="J4" s="101" t="s">
        <v>1</v>
      </c>
      <c r="K4" s="102"/>
      <c r="L4" s="102"/>
      <c r="M4" s="102"/>
      <c r="N4" s="103"/>
      <c r="P4" s="11" t="s">
        <v>35</v>
      </c>
      <c r="Q4" s="66" t="s">
        <v>35</v>
      </c>
    </row>
    <row r="5" spans="2:17" x14ac:dyDescent="0.25">
      <c r="B5" s="96"/>
      <c r="C5" s="26" t="s">
        <v>12</v>
      </c>
      <c r="D5" s="41">
        <f t="shared" ref="D5:D6" si="0">H5</f>
        <v>1037.20364</v>
      </c>
      <c r="F5" s="96"/>
      <c r="G5" s="26" t="s">
        <v>12</v>
      </c>
      <c r="H5" s="80">
        <f>H4*H6</f>
        <v>1037.20364</v>
      </c>
      <c r="I5" s="74"/>
      <c r="J5" s="4" t="s">
        <v>2</v>
      </c>
      <c r="K5" s="4" t="s">
        <v>0</v>
      </c>
      <c r="L5" s="4" t="s">
        <v>3</v>
      </c>
      <c r="M5" s="4" t="s">
        <v>55</v>
      </c>
      <c r="N5" s="4" t="s">
        <v>56</v>
      </c>
      <c r="P5" s="16" t="str">
        <f>IF(Calculator!C5="Support", M5, IF(Calculator!C5="Academic", N5, Error))</f>
        <v>UAPP Pension</v>
      </c>
      <c r="Q5" s="16" t="str">
        <f>IF(Calculator!C5="Support", "Not Applicable", IF(Calculator!C5="Academic", N7, Error))</f>
        <v>ASRP Pension 3</v>
      </c>
    </row>
    <row r="6" spans="2:17" s="8" customFormat="1" x14ac:dyDescent="0.25">
      <c r="B6" s="97"/>
      <c r="C6" s="29" t="s">
        <v>50</v>
      </c>
      <c r="D6" s="37">
        <f t="shared" si="0"/>
        <v>1.84228E-2</v>
      </c>
      <c r="F6" s="97"/>
      <c r="G6" s="29" t="s">
        <v>50</v>
      </c>
      <c r="H6" s="37">
        <f>0.0158*1.166</f>
        <v>1.84228E-2</v>
      </c>
      <c r="I6" s="76"/>
      <c r="J6" s="2">
        <f>IF(Calculator!C8&gt;=H4,H5,((Calculator!C8*H6)))</f>
        <v>1037.20364</v>
      </c>
      <c r="K6" s="2">
        <f>IF(Calculator!C8&gt;=H9, IF(Calculator!C8&gt;=(H8-H9),H10,((Calculator!C8-H9)*H11)), 0)</f>
        <v>3166.45</v>
      </c>
      <c r="L6" s="2">
        <f>IF(Calculator!C8&gt;='Benefits Rates'!H14,'Benefits Rates'!H15,Calculator!C8*(H13))</f>
        <v>207.26999999999998</v>
      </c>
      <c r="M6" s="12" t="str">
        <f>IF(Calculator!C5="Support",IF(Calculator!C8&lt;=H20,IF(Calculator!C8&lt;=H19, Calculator!C8*'Benefits Rates'!H17, (H21+((Calculator!C8-'Benefits Rates'!H19)*'Benefits Rates'!H18))), H22), "Not Applicable")</f>
        <v>Not Applicable</v>
      </c>
      <c r="N6" s="13">
        <f>IF(Calculator!C5="Academic",IF(Calculator!C8&lt;=D20,IF(Calculator!C8&lt;=D19, Calculator!C8*D17, (D21+((Calculator!C8-D19)*D18))),(((Calculator!C8-'Benefits Rates'!D20)*'Benefits Rates'!D23)+'Benefits Rates'!D22)), "Not Applicable")</f>
        <v>27206.984000000004</v>
      </c>
      <c r="O6"/>
      <c r="P6" s="15">
        <f>IF(Calculator!C5="Support", M6, IF(Calculator!C5="Academic", N6, "Error"))</f>
        <v>27206.984000000004</v>
      </c>
      <c r="Q6" s="15">
        <f>IF(Calculator!C5="Support", "N/A", IF(Calculator!C5="Academic", N8, "Error"))</f>
        <v>1109.0664000000002</v>
      </c>
    </row>
    <row r="7" spans="2:17" ht="12" customHeight="1" x14ac:dyDescent="0.25">
      <c r="B7" s="9"/>
      <c r="C7" s="17"/>
      <c r="D7" s="10"/>
      <c r="F7" s="9"/>
      <c r="G7" s="17"/>
      <c r="H7" s="10"/>
      <c r="I7" s="73"/>
      <c r="N7" s="4" t="s">
        <v>66</v>
      </c>
    </row>
    <row r="8" spans="2:17" x14ac:dyDescent="0.25">
      <c r="B8" s="95" t="s">
        <v>47</v>
      </c>
      <c r="C8" s="31" t="s">
        <v>8</v>
      </c>
      <c r="D8" s="40">
        <f>H8</f>
        <v>61600</v>
      </c>
      <c r="F8" s="95" t="s">
        <v>47</v>
      </c>
      <c r="G8" s="31" t="s">
        <v>8</v>
      </c>
      <c r="H8" s="40">
        <v>61600</v>
      </c>
      <c r="I8" s="75"/>
      <c r="J8" s="104" t="s">
        <v>29</v>
      </c>
      <c r="K8" s="104"/>
      <c r="L8" s="104"/>
      <c r="N8" s="13">
        <f>IF(Calculator!C5="Academic",IF(Calculator!C8&lt;=D33,IF(Calculator!C8&lt;=D32, 0, ((Calculator!C8-D32)*D35)),((D33-D32)*'Benefits Rates'!D35)), "NA")</f>
        <v>1109.0664000000002</v>
      </c>
    </row>
    <row r="9" spans="2:17" x14ac:dyDescent="0.25">
      <c r="B9" s="96"/>
      <c r="C9" s="26" t="s">
        <v>7</v>
      </c>
      <c r="D9" s="41">
        <f>H9</f>
        <v>3500</v>
      </c>
      <c r="F9" s="96"/>
      <c r="G9" s="26" t="s">
        <v>7</v>
      </c>
      <c r="H9" s="41">
        <v>3500</v>
      </c>
      <c r="I9" s="7"/>
      <c r="J9" s="104" t="s">
        <v>27</v>
      </c>
      <c r="K9" s="104"/>
      <c r="L9" s="11" t="s">
        <v>28</v>
      </c>
    </row>
    <row r="10" spans="2:17" x14ac:dyDescent="0.25">
      <c r="B10" s="96"/>
      <c r="C10" s="27" t="s">
        <v>13</v>
      </c>
      <c r="D10" s="41">
        <f>H10</f>
        <v>3166.45</v>
      </c>
      <c r="F10" s="96"/>
      <c r="G10" s="27" t="s">
        <v>13</v>
      </c>
      <c r="H10" s="41">
        <f>(H8-H9)*H11</f>
        <v>3166.45</v>
      </c>
      <c r="I10" s="6"/>
      <c r="J10" s="18" t="s">
        <v>32</v>
      </c>
      <c r="K10" s="18"/>
      <c r="L10" s="2">
        <f>IF(Calculator!C5="Support",'Benefits Rates'!H25,IF(Calculator!C5="Academic",'Benefits Rates'!D25,0))</f>
        <v>3540</v>
      </c>
    </row>
    <row r="11" spans="2:17" s="8" customFormat="1" x14ac:dyDescent="0.25">
      <c r="B11" s="97"/>
      <c r="C11" s="32" t="s">
        <v>9</v>
      </c>
      <c r="D11" s="37">
        <f t="shared" ref="D11" si="1">H11</f>
        <v>5.45E-2</v>
      </c>
      <c r="F11" s="97"/>
      <c r="G11" s="32" t="s">
        <v>9</v>
      </c>
      <c r="H11" s="37">
        <v>5.45E-2</v>
      </c>
      <c r="I11" s="6"/>
      <c r="J11" s="18" t="s">
        <v>22</v>
      </c>
      <c r="K11" s="18"/>
      <c r="L11" s="2">
        <f>IF(Calculator!C5="Support",H26,IF(Calculator!C5="Academic",D26,0))</f>
        <v>2052</v>
      </c>
      <c r="M11"/>
      <c r="N11"/>
      <c r="O11"/>
      <c r="P11"/>
    </row>
    <row r="12" spans="2:17" ht="12" customHeight="1" x14ac:dyDescent="0.25">
      <c r="B12" s="9"/>
      <c r="C12" s="17"/>
      <c r="D12" s="28"/>
      <c r="F12" s="9"/>
      <c r="G12" s="17"/>
      <c r="H12" s="10"/>
      <c r="I12" s="6"/>
      <c r="J12" s="18" t="s">
        <v>23</v>
      </c>
      <c r="K12" s="18"/>
      <c r="L12" s="2">
        <f>IF(Calculator!C5="Support",Calculator!C8*'Benefits Rates'!H29,IF(Calculator!C5="Academic",'Benefits Rates'!D29,0))</f>
        <v>165.60000000000002</v>
      </c>
    </row>
    <row r="13" spans="2:17" x14ac:dyDescent="0.25">
      <c r="B13" s="92" t="s">
        <v>48</v>
      </c>
      <c r="C13" s="31" t="s">
        <v>18</v>
      </c>
      <c r="D13" s="33">
        <f t="shared" ref="D13:D14" si="2">H13</f>
        <v>2.0999999999999999E-3</v>
      </c>
      <c r="F13" s="92" t="s">
        <v>48</v>
      </c>
      <c r="G13" s="31" t="s">
        <v>18</v>
      </c>
      <c r="H13" s="33">
        <v>2.0999999999999999E-3</v>
      </c>
      <c r="I13" s="3"/>
      <c r="J13" s="18" t="s">
        <v>31</v>
      </c>
      <c r="K13" s="18"/>
      <c r="L13" s="19">
        <f>IF(Calculator!C5="Support",Calculator!C8*H30,IF(Calculator!C5="Academic", Calculator!C8*D30,0))</f>
        <v>2280</v>
      </c>
    </row>
    <row r="14" spans="2:17" x14ac:dyDescent="0.25">
      <c r="B14" s="93"/>
      <c r="C14" s="26" t="s">
        <v>10</v>
      </c>
      <c r="D14" s="41">
        <f t="shared" si="2"/>
        <v>98700</v>
      </c>
      <c r="F14" s="93"/>
      <c r="G14" s="26" t="s">
        <v>10</v>
      </c>
      <c r="H14" s="41">
        <v>98700</v>
      </c>
      <c r="I14" s="6"/>
      <c r="J14" s="18" t="s">
        <v>30</v>
      </c>
      <c r="K14" s="18"/>
      <c r="L14" s="2">
        <f>IF(Calculator!C5="Support",H27,IF(Calculator!C5="Academic",D27,0))</f>
        <v>108</v>
      </c>
    </row>
    <row r="15" spans="2:17" x14ac:dyDescent="0.25">
      <c r="B15" s="94"/>
      <c r="C15" s="32" t="s">
        <v>11</v>
      </c>
      <c r="D15" s="42">
        <f>H15</f>
        <v>207.26999999999998</v>
      </c>
      <c r="F15" s="94"/>
      <c r="G15" s="32" t="s">
        <v>11</v>
      </c>
      <c r="H15" s="42">
        <f>H13*H14</f>
        <v>207.26999999999998</v>
      </c>
      <c r="J15" s="18" t="s">
        <v>26</v>
      </c>
      <c r="K15" s="18"/>
      <c r="L15" s="2">
        <f>IF(Calculator!C5="Support",H28,IF(Calculator!C5="Academic",D28,0))</f>
        <v>43.2</v>
      </c>
    </row>
    <row r="16" spans="2:17" ht="12" customHeight="1" x14ac:dyDescent="0.25">
      <c r="B16" s="9"/>
      <c r="C16" s="17"/>
      <c r="D16" s="10"/>
      <c r="F16" s="9"/>
      <c r="G16" s="17"/>
      <c r="H16" s="10"/>
      <c r="I16" s="7"/>
    </row>
    <row r="17" spans="2:16" s="8" customFormat="1" x14ac:dyDescent="0.25">
      <c r="B17" s="92" t="s">
        <v>80</v>
      </c>
      <c r="C17" s="34" t="s">
        <v>15</v>
      </c>
      <c r="D17" s="86">
        <v>0.1237</v>
      </c>
      <c r="F17" s="92" t="s">
        <v>86</v>
      </c>
      <c r="G17" s="34" t="s">
        <v>15</v>
      </c>
      <c r="H17" s="33">
        <v>0.1047</v>
      </c>
      <c r="I17" s="6"/>
      <c r="K17"/>
      <c r="L17"/>
      <c r="M17"/>
      <c r="N17"/>
      <c r="O17"/>
      <c r="P17"/>
    </row>
    <row r="18" spans="2:16" x14ac:dyDescent="0.25">
      <c r="B18" s="93"/>
      <c r="C18" s="27" t="s">
        <v>16</v>
      </c>
      <c r="D18" s="87">
        <v>0.16320000000000001</v>
      </c>
      <c r="F18" s="93"/>
      <c r="G18" s="27" t="s">
        <v>16</v>
      </c>
      <c r="H18" s="30">
        <v>0.14949999999999999</v>
      </c>
      <c r="I18" s="6"/>
      <c r="O18" s="8"/>
      <c r="P18" s="8"/>
    </row>
    <row r="19" spans="2:16" x14ac:dyDescent="0.25">
      <c r="B19" s="93"/>
      <c r="C19" s="27" t="s">
        <v>14</v>
      </c>
      <c r="D19" s="80">
        <f>H19</f>
        <v>61600</v>
      </c>
      <c r="F19" s="93"/>
      <c r="G19" s="27" t="s">
        <v>14</v>
      </c>
      <c r="H19" s="41">
        <v>61600</v>
      </c>
      <c r="I19" s="6"/>
    </row>
    <row r="20" spans="2:16" x14ac:dyDescent="0.25">
      <c r="B20" s="93"/>
      <c r="C20" s="27" t="s">
        <v>17</v>
      </c>
      <c r="D20" s="80">
        <f>H20</f>
        <v>180758</v>
      </c>
      <c r="F20" s="93"/>
      <c r="G20" s="27" t="s">
        <v>17</v>
      </c>
      <c r="H20" s="41">
        <v>180758</v>
      </c>
      <c r="J20" s="9" t="s">
        <v>38</v>
      </c>
      <c r="K20" s="8"/>
      <c r="L20" s="8"/>
      <c r="M20" s="8"/>
      <c r="N20" s="8"/>
    </row>
    <row r="21" spans="2:16" x14ac:dyDescent="0.25">
      <c r="B21" s="93"/>
      <c r="C21" s="27" t="s">
        <v>36</v>
      </c>
      <c r="D21" s="80">
        <f>D17*D19</f>
        <v>7619.92</v>
      </c>
      <c r="F21" s="93"/>
      <c r="G21" s="27" t="s">
        <v>36</v>
      </c>
      <c r="H21" s="41">
        <f>H17*H19</f>
        <v>6449.52</v>
      </c>
      <c r="I21" s="5"/>
    </row>
    <row r="22" spans="2:16" x14ac:dyDescent="0.25">
      <c r="B22" s="93"/>
      <c r="C22" s="27" t="s">
        <v>37</v>
      </c>
      <c r="D22" s="80">
        <f>D21+((D20-D19)*D18)</f>
        <v>27066.505600000004</v>
      </c>
      <c r="F22" s="94"/>
      <c r="G22" s="32" t="s">
        <v>37</v>
      </c>
      <c r="H22" s="42">
        <f>H21+((H20-H19)*H18)</f>
        <v>24263.641</v>
      </c>
      <c r="I22" s="3"/>
      <c r="J22" s="11" t="s">
        <v>41</v>
      </c>
      <c r="M22" s="11" t="s">
        <v>44</v>
      </c>
      <c r="N22" s="11" t="s">
        <v>45</v>
      </c>
    </row>
    <row r="23" spans="2:16" s="8" customFormat="1" x14ac:dyDescent="0.25">
      <c r="B23" s="94"/>
      <c r="C23" s="32" t="s">
        <v>19</v>
      </c>
      <c r="D23" s="88">
        <v>1.52E-2</v>
      </c>
      <c r="F23" s="45"/>
      <c r="G23" s="27"/>
      <c r="H23" s="6"/>
      <c r="I23" s="3"/>
      <c r="J23" s="20">
        <f>SUM(J25:K25)</f>
        <v>24263.641</v>
      </c>
      <c r="K23"/>
      <c r="L23"/>
      <c r="M23" s="16" t="str">
        <f>IF(Calculator!C8&gt;=H20,"Yes","No")</f>
        <v>Yes</v>
      </c>
      <c r="N23" s="16" t="str">
        <f>IF(Calculator!C5="Support", IF(J23=P6," Correct", "Error"), "Not Eligible")</f>
        <v>Not Eligible</v>
      </c>
      <c r="O23"/>
      <c r="P23"/>
    </row>
    <row r="24" spans="2:16" ht="12" customHeight="1" x14ac:dyDescent="0.25">
      <c r="B24" s="44"/>
      <c r="C24" s="24"/>
      <c r="D24" s="10"/>
      <c r="F24" s="46"/>
      <c r="G24" s="27"/>
      <c r="H24" s="6"/>
      <c r="I24" s="6"/>
      <c r="J24" s="11" t="s">
        <v>39</v>
      </c>
      <c r="K24" s="11" t="s">
        <v>40</v>
      </c>
    </row>
    <row r="25" spans="2:16" ht="15" customHeight="1" x14ac:dyDescent="0.25">
      <c r="B25" s="95" t="s">
        <v>49</v>
      </c>
      <c r="C25" s="35" t="s">
        <v>21</v>
      </c>
      <c r="D25" s="40">
        <v>3540</v>
      </c>
      <c r="F25" s="95" t="s">
        <v>49</v>
      </c>
      <c r="G25" s="35" t="s">
        <v>21</v>
      </c>
      <c r="H25" s="40">
        <v>3300</v>
      </c>
      <c r="I25" s="6"/>
      <c r="J25" s="20">
        <f>IF(Calculator!C8&lt;='Benefits Rates'!H19, H17*Calculator!C8, H19*H17)</f>
        <v>6449.52</v>
      </c>
      <c r="K25" s="1">
        <f>IF(Calculator!C8&lt;='Benefits Rates'!H20, IF(Calculator!C8&lt;=H19, 0, (Calculator!C8-H19)*H18), (H20-H19)*H18)</f>
        <v>17814.120999999999</v>
      </c>
    </row>
    <row r="26" spans="2:16" x14ac:dyDescent="0.25">
      <c r="B26" s="96"/>
      <c r="C26" s="17" t="s">
        <v>22</v>
      </c>
      <c r="D26" s="41">
        <v>2052</v>
      </c>
      <c r="F26" s="96"/>
      <c r="G26" s="17" t="s">
        <v>22</v>
      </c>
      <c r="H26" s="41">
        <v>1812</v>
      </c>
    </row>
    <row r="27" spans="2:16" s="8" customFormat="1" x14ac:dyDescent="0.25">
      <c r="B27" s="96"/>
      <c r="C27" s="17" t="s">
        <v>25</v>
      </c>
      <c r="D27" s="41">
        <v>108</v>
      </c>
      <c r="F27" s="96"/>
      <c r="G27" s="17" t="s">
        <v>25</v>
      </c>
      <c r="H27" s="41">
        <v>108</v>
      </c>
      <c r="J27" s="9" t="s">
        <v>42</v>
      </c>
      <c r="K27"/>
      <c r="L27"/>
      <c r="M27"/>
      <c r="N27"/>
      <c r="O27"/>
      <c r="P27"/>
    </row>
    <row r="28" spans="2:16" s="8" customFormat="1" ht="17.25" x14ac:dyDescent="0.25">
      <c r="B28" s="96"/>
      <c r="C28" s="17" t="s">
        <v>73</v>
      </c>
      <c r="D28" s="80">
        <v>43.2</v>
      </c>
      <c r="F28" s="96"/>
      <c r="G28" s="17" t="s">
        <v>73</v>
      </c>
      <c r="H28" s="80">
        <f>D28</f>
        <v>43.2</v>
      </c>
      <c r="J28"/>
      <c r="K28"/>
      <c r="L28"/>
      <c r="M28"/>
      <c r="N28"/>
      <c r="O28"/>
      <c r="P28"/>
    </row>
    <row r="29" spans="2:16" ht="17.25" x14ac:dyDescent="0.25">
      <c r="B29" s="96"/>
      <c r="C29" s="17" t="s">
        <v>23</v>
      </c>
      <c r="D29" s="80">
        <v>165.60000000000002</v>
      </c>
      <c r="F29" s="96"/>
      <c r="G29" s="17" t="s">
        <v>72</v>
      </c>
      <c r="H29" s="81">
        <f>(0.149*12*2)/1000</f>
        <v>3.5759999999999998E-3</v>
      </c>
      <c r="I29" s="7"/>
      <c r="J29" s="11" t="s">
        <v>41</v>
      </c>
      <c r="M29" s="11" t="s">
        <v>44</v>
      </c>
      <c r="N29" s="11" t="s">
        <v>45</v>
      </c>
    </row>
    <row r="30" spans="2:16" x14ac:dyDescent="0.25">
      <c r="B30" s="97"/>
      <c r="C30" s="36" t="s">
        <v>24</v>
      </c>
      <c r="D30" s="43">
        <v>1.2E-2</v>
      </c>
      <c r="F30" s="97"/>
      <c r="G30" s="36" t="s">
        <v>24</v>
      </c>
      <c r="H30" s="43">
        <v>3.2500000000000001E-2</v>
      </c>
      <c r="I30" s="3"/>
      <c r="J30" s="23">
        <f>SUM(J32:L32)</f>
        <v>27206.984000000004</v>
      </c>
      <c r="M30" s="16" t="str">
        <f>IF(Calculator!C8&gt;='Benefits Rates'!D20,"Yes","No")</f>
        <v>Yes</v>
      </c>
      <c r="N30" s="16" t="str">
        <f>IF(Calculator!C5="Academic", IF(J30=P6," Correct", "Error"), "Not Eligible")</f>
        <v xml:space="preserve"> Correct</v>
      </c>
    </row>
    <row r="31" spans="2:16" ht="12" customHeight="1" x14ac:dyDescent="0.25">
      <c r="C31" s="14"/>
      <c r="I31" s="6"/>
      <c r="J31" s="11" t="s">
        <v>39</v>
      </c>
      <c r="K31" s="11" t="s">
        <v>40</v>
      </c>
      <c r="L31" s="11" t="s">
        <v>43</v>
      </c>
    </row>
    <row r="32" spans="2:16" x14ac:dyDescent="0.25">
      <c r="B32" s="92" t="s">
        <v>77</v>
      </c>
      <c r="C32" s="35" t="s">
        <v>62</v>
      </c>
      <c r="D32" s="40">
        <f>180757.78</f>
        <v>180757.78</v>
      </c>
      <c r="F32" s="85" t="s">
        <v>69</v>
      </c>
      <c r="I32" s="3"/>
      <c r="J32" s="2">
        <f>IF(Calculator!C8&lt;='Benefits Rates'!D19, Calculator!C8*'Benefits Rates'!D17, D19*D17)</f>
        <v>7619.92</v>
      </c>
      <c r="K32" s="2">
        <f>IF(Calculator!C8&lt;='Benefits Rates'!D20, IF(Calculator!C8&lt;='Benefits Rates'!D19,0, ((Calculator!C8-'Benefits Rates'!D19)*'Benefits Rates'!D18)), ((D20-'Benefits Rates'!D19)*'Benefits Rates'!D18))</f>
        <v>19446.585600000002</v>
      </c>
      <c r="L32" s="2">
        <f>IF(Calculator!C8&gt;'Benefits Rates'!D20, ((Calculator!C8-'Benefits Rates'!D20)*'Benefits Rates'!D23), 0)</f>
        <v>140.47839999999999</v>
      </c>
    </row>
    <row r="33" spans="2:7" ht="17.25" x14ac:dyDescent="0.25">
      <c r="B33" s="93"/>
      <c r="C33" s="17" t="s">
        <v>76</v>
      </c>
      <c r="D33" s="41">
        <v>220668</v>
      </c>
      <c r="F33" s="85" t="s">
        <v>85</v>
      </c>
    </row>
    <row r="34" spans="2:7" x14ac:dyDescent="0.25">
      <c r="B34" s="93"/>
      <c r="C34" s="68" t="s">
        <v>63</v>
      </c>
      <c r="D34" s="70">
        <v>0.08</v>
      </c>
      <c r="F34" s="25" t="s">
        <v>74</v>
      </c>
    </row>
    <row r="35" spans="2:7" x14ac:dyDescent="0.25">
      <c r="B35" s="93"/>
      <c r="C35" s="17" t="s">
        <v>64</v>
      </c>
      <c r="D35" s="70">
        <v>0.12</v>
      </c>
      <c r="F35" s="25" t="s">
        <v>87</v>
      </c>
    </row>
    <row r="36" spans="2:7" x14ac:dyDescent="0.25">
      <c r="B36" s="94"/>
      <c r="C36" s="69" t="s">
        <v>65</v>
      </c>
      <c r="D36" s="71">
        <v>0.16</v>
      </c>
    </row>
    <row r="37" spans="2:7" ht="12" customHeight="1" x14ac:dyDescent="0.25"/>
    <row r="38" spans="2:7" x14ac:dyDescent="0.25">
      <c r="B38" s="25" t="s">
        <v>68</v>
      </c>
      <c r="G38" s="78"/>
    </row>
    <row r="39" spans="2:7" s="8" customFormat="1" x14ac:dyDescent="0.25">
      <c r="B39" s="25" t="s">
        <v>79</v>
      </c>
      <c r="G39" s="78"/>
    </row>
    <row r="40" spans="2:7" s="8" customFormat="1" x14ac:dyDescent="0.25">
      <c r="B40" s="25" t="s">
        <v>74</v>
      </c>
      <c r="G40" s="78"/>
    </row>
    <row r="41" spans="2:7" x14ac:dyDescent="0.25">
      <c r="B41" s="85" t="s">
        <v>75</v>
      </c>
    </row>
    <row r="42" spans="2:7" x14ac:dyDescent="0.25">
      <c r="B42" s="91" t="s">
        <v>78</v>
      </c>
      <c r="C42" s="91"/>
      <c r="D42" s="91"/>
      <c r="G42" s="79"/>
    </row>
    <row r="43" spans="2:7" s="8" customFormat="1" x14ac:dyDescent="0.25">
      <c r="B43" s="91"/>
      <c r="C43" s="91"/>
      <c r="D43" s="91"/>
      <c r="G43" s="79"/>
    </row>
    <row r="44" spans="2:7" s="8" customFormat="1" x14ac:dyDescent="0.25">
      <c r="B44" s="91"/>
      <c r="C44" s="91"/>
      <c r="D44" s="91"/>
      <c r="G44" s="79"/>
    </row>
    <row r="45" spans="2:7" x14ac:dyDescent="0.25">
      <c r="B45" s="91"/>
      <c r="C45" s="91"/>
      <c r="D45" s="91"/>
    </row>
    <row r="46" spans="2:7" x14ac:dyDescent="0.25">
      <c r="F46" s="77"/>
    </row>
  </sheetData>
  <sheetProtection algorithmName="SHA-512" hashValue="YnBHWJNkIHCKPf8+dZwEQVXk0JVTeR0yqv6SKOZ7IcFwF8GRXWI2g/avGrp5oQlSAhRBYe1XSAJz/lN5Bz1qOg==" saltValue="X47DANC6s4M3r7HdldjiHA==" spinCount="100000" sheet="1" objects="1" scenarios="1"/>
  <mergeCells count="17">
    <mergeCell ref="B2:D2"/>
    <mergeCell ref="J4:N4"/>
    <mergeCell ref="F4:F6"/>
    <mergeCell ref="J9:K9"/>
    <mergeCell ref="J8:L8"/>
    <mergeCell ref="F2:H2"/>
    <mergeCell ref="B4:B6"/>
    <mergeCell ref="B8:B11"/>
    <mergeCell ref="F8:F11"/>
    <mergeCell ref="B42:D45"/>
    <mergeCell ref="B13:B15"/>
    <mergeCell ref="F25:F30"/>
    <mergeCell ref="F17:F22"/>
    <mergeCell ref="F13:F15"/>
    <mergeCell ref="B32:B36"/>
    <mergeCell ref="B25:B30"/>
    <mergeCell ref="B17:B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"/>
    </sheetView>
  </sheetViews>
  <sheetFormatPr defaultRowHeight="15" x14ac:dyDescent="0.25"/>
  <cols>
    <col min="1" max="1" width="18.28515625" customWidth="1"/>
  </cols>
  <sheetData>
    <row r="1" spans="1:1" x14ac:dyDescent="0.25">
      <c r="A1" t="s">
        <v>4</v>
      </c>
    </row>
    <row r="2" spans="1:1" x14ac:dyDescent="0.25">
      <c r="A2" t="s">
        <v>20</v>
      </c>
    </row>
    <row r="3" spans="1:1" x14ac:dyDescent="0.25">
      <c r="A3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Benefits Rates</vt:lpstr>
      <vt:lpstr>Dropdown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jcchu</dc:creator>
  <cp:lastModifiedBy>Jason</cp:lastModifiedBy>
  <cp:lastPrinted>2018-12-04T23:07:47Z</cp:lastPrinted>
  <dcterms:created xsi:type="dcterms:W3CDTF">2018-08-28T16:37:57Z</dcterms:created>
  <dcterms:modified xsi:type="dcterms:W3CDTF">2021-08-06T15:55:48Z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